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055" firstSheet="1" activeTab="5"/>
  </bookViews>
  <sheets>
    <sheet name="Diagnostiske testberegninger" sheetId="1" r:id="rId1"/>
    <sheet name="95%-sikkerhedsgrænser" sheetId="2" r:id="rId2"/>
    <sheet name="Randomiseret forsøg" sheetId="3" r:id="rId3"/>
    <sheet name="Sensitivitetsanalyse" sheetId="4" r:id="rId4"/>
    <sheet name="Kohorte og case-control" sheetId="5" r:id="rId5"/>
    <sheet name="Kappa-beregninger" sheetId="6" r:id="rId6"/>
  </sheets>
  <definedNames/>
  <calcPr fullCalcOnLoad="1"/>
</workbook>
</file>

<file path=xl/sharedStrings.xml><?xml version="1.0" encoding="utf-8"?>
<sst xmlns="http://schemas.openxmlformats.org/spreadsheetml/2006/main" count="149" uniqueCount="109">
  <si>
    <t>Diagnostiske test-sandsynligheder</t>
  </si>
  <si>
    <t>Syg</t>
  </si>
  <si>
    <t>Rask</t>
  </si>
  <si>
    <t>Test positiv</t>
  </si>
  <si>
    <t>Test negativ</t>
  </si>
  <si>
    <t>Prævalens</t>
  </si>
  <si>
    <t>Prætest Odds</t>
  </si>
  <si>
    <t>Sensitivitet</t>
  </si>
  <si>
    <t>Specificitet</t>
  </si>
  <si>
    <t>PV pos.</t>
  </si>
  <si>
    <t>PV neg.</t>
  </si>
  <si>
    <t>Agreement</t>
  </si>
  <si>
    <t>LR positiv</t>
  </si>
  <si>
    <t>LR negativ</t>
  </si>
  <si>
    <t>95% C.I.</t>
  </si>
  <si>
    <t>Nedre grænse</t>
  </si>
  <si>
    <t>Øvre grænse</t>
  </si>
  <si>
    <t>95%-sikkerhedsgrænser på en fraktion</t>
  </si>
  <si>
    <t>a</t>
  </si>
  <si>
    <t>n</t>
  </si>
  <si>
    <t>a/n</t>
  </si>
  <si>
    <t>Nederste grænse</t>
  </si>
  <si>
    <t>Øverste grænse</t>
  </si>
  <si>
    <t>95%-sikkerhedsgrænser på forskellen mellem 2 fraktioner</t>
  </si>
  <si>
    <t>Fraktion 1</t>
  </si>
  <si>
    <t>Fraktion 2</t>
  </si>
  <si>
    <t>b</t>
  </si>
  <si>
    <t>m</t>
  </si>
  <si>
    <t>b/m</t>
  </si>
  <si>
    <t>95%-sikkerhedsgrænser på Odds-ratio</t>
  </si>
  <si>
    <t>Effekt 1</t>
  </si>
  <si>
    <t>Effekt 2</t>
  </si>
  <si>
    <t>Faktor 1</t>
  </si>
  <si>
    <r>
      <t>log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OR</t>
    </r>
  </si>
  <si>
    <r>
      <t>SE log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OR</t>
    </r>
  </si>
  <si>
    <t>Faktor 2</t>
  </si>
  <si>
    <t>c</t>
  </si>
  <si>
    <t>d</t>
  </si>
  <si>
    <t>95%-sikkerhedsgrænser på Likelihood-ratios</t>
  </si>
  <si>
    <r>
      <t>log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LR+</t>
    </r>
  </si>
  <si>
    <r>
      <t>SE log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LR+</t>
    </r>
  </si>
  <si>
    <t>Test pos</t>
  </si>
  <si>
    <t>Test neg</t>
  </si>
  <si>
    <r>
      <t>log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LR-</t>
    </r>
  </si>
  <si>
    <r>
      <t>SE log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LR-</t>
    </r>
  </si>
  <si>
    <t>LR+=a*(a+c)/b*(b+d)</t>
  </si>
  <si>
    <t>LR-=c*(a+c)/d*(b+d)</t>
  </si>
  <si>
    <t>Number needed to treat</t>
  </si>
  <si>
    <t>Patienter gr. 1</t>
  </si>
  <si>
    <t>Patienter gr. 2</t>
  </si>
  <si>
    <t>Behandling</t>
  </si>
  <si>
    <t>Kontrolbehandling</t>
  </si>
  <si>
    <t>Eksperimentel behandl.</t>
  </si>
  <si>
    <t>N</t>
  </si>
  <si>
    <t>n(fraktion)</t>
  </si>
  <si>
    <t>Absolut Risiko Reduktion</t>
  </si>
  <si>
    <t>NNT</t>
  </si>
  <si>
    <t>Relativ Risiko Reduktion</t>
  </si>
  <si>
    <t>Relativ risiko</t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</si>
  <si>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(event)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</si>
  <si>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(no event)</t>
    </r>
  </si>
  <si>
    <r>
      <t>à priori</t>
    </r>
    <r>
      <rPr>
        <sz val="10"/>
        <rFont val="Arial"/>
        <family val="0"/>
      </rPr>
      <t xml:space="preserve"> sandsynlighed</t>
    </r>
  </si>
  <si>
    <t>PVpos</t>
  </si>
  <si>
    <t>PVneg</t>
  </si>
  <si>
    <t>P sygd. trods neg. test</t>
  </si>
  <si>
    <t>LRpos</t>
  </si>
  <si>
    <t>LRneg</t>
  </si>
  <si>
    <r>
      <t xml:space="preserve">Sensitivitet og specificitet </t>
    </r>
    <r>
      <rPr>
        <sz val="10"/>
        <rFont val="Arial"/>
        <family val="2"/>
      </rPr>
      <t>(sensitivitetsanalyse)</t>
    </r>
  </si>
  <si>
    <t>Faktor til stede</t>
  </si>
  <si>
    <t>Faktor ikke til stede</t>
  </si>
  <si>
    <t>Case-control, tal indføres lodret</t>
  </si>
  <si>
    <t>Kohorter, tal</t>
  </si>
  <si>
    <t>indføres vandret</t>
  </si>
  <si>
    <t>ODD's ratio</t>
  </si>
  <si>
    <t>OR</t>
  </si>
  <si>
    <t>Relative risiko</t>
  </si>
  <si>
    <t>RR</t>
  </si>
  <si>
    <t>Kun kohortestudier</t>
  </si>
  <si>
    <t>Number needed to</t>
  </si>
  <si>
    <t>NNH</t>
  </si>
  <si>
    <t>Prævalensen:</t>
  </si>
  <si>
    <t>harm (NNH)</t>
  </si>
  <si>
    <t>Observationelle studier</t>
  </si>
  <si>
    <t>hvis prævalensen kendes</t>
  </si>
  <si>
    <r>
      <t xml:space="preserve">Indsæt </t>
    </r>
    <r>
      <rPr>
        <i/>
        <sz val="10"/>
        <rFont val="Arial"/>
        <family val="0"/>
      </rPr>
      <t xml:space="preserve">à priori </t>
    </r>
    <r>
      <rPr>
        <sz val="10"/>
        <rFont val="Arial"/>
        <family val="0"/>
      </rPr>
      <t>sandsynligheden, samt specificitet og sensitivitet for hvert scenario</t>
    </r>
  </si>
  <si>
    <t xml:space="preserve">Number needed to harm (NNH) kan udregnes fra OR fra Case-control-studier, </t>
  </si>
  <si>
    <t>Scenario</t>
  </si>
  <si>
    <t>NNT (nedre 95%-grænse)</t>
  </si>
  <si>
    <t>NNT (øvre 95%-grænse)</t>
  </si>
  <si>
    <t>RR (nedre  95%-grænse)</t>
  </si>
  <si>
    <t>RR (øvre  95%-grænse)</t>
  </si>
  <si>
    <t>Øvre 95%-grænse</t>
  </si>
  <si>
    <t>Nedre 95%-grænse</t>
  </si>
  <si>
    <t>RRR (nedre 95%-grænse)</t>
  </si>
  <si>
    <t>RRR (øvre 95%-grænse)</t>
  </si>
  <si>
    <t>OR = a*d/c*b</t>
  </si>
  <si>
    <t>Forskel: a/n - b/m</t>
  </si>
  <si>
    <t>Kappa-beregninger</t>
  </si>
  <si>
    <t>Fund ved 2 observatører</t>
  </si>
  <si>
    <t>2. Observatør</t>
  </si>
  <si>
    <t>1. Observatør</t>
  </si>
  <si>
    <t>Positivt fund</t>
  </si>
  <si>
    <t>Negativt fund</t>
  </si>
  <si>
    <t>Overensstemmelser</t>
  </si>
  <si>
    <t>Beregnede fund ved tilfældig tildeling</t>
  </si>
  <si>
    <t>Tilfældige overensstemmelser</t>
  </si>
  <si>
    <t>Forbedring fra tilfældigt ved at observere</t>
  </si>
  <si>
    <t>Teoretisk mulige forbedring</t>
  </si>
  <si>
    <t>Kappa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</si>
</sst>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vertAlign val="subscript"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2" borderId="6" xfId="0" applyFill="1" applyBorder="1" applyAlignment="1">
      <alignment/>
    </xf>
    <xf numFmtId="0" fontId="5" fillId="0" borderId="0" xfId="0" applyFont="1" applyAlignment="1">
      <alignment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 horizontal="right"/>
    </xf>
    <xf numFmtId="2" fontId="0" fillId="3" borderId="0" xfId="0" applyNumberFormat="1" applyFill="1" applyAlignment="1">
      <alignment/>
    </xf>
    <xf numFmtId="0" fontId="1" fillId="2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1" fontId="0" fillId="2" borderId="14" xfId="0" applyNumberForma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0" fontId="3" fillId="2" borderId="1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16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2" fontId="0" fillId="0" borderId="6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2" fontId="0" fillId="3" borderId="6" xfId="0" applyNumberForma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0" fillId="3" borderId="0" xfId="0" applyNumberFormat="1" applyFill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2" fontId="0" fillId="2" borderId="0" xfId="0" applyNumberFormat="1" applyFill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2" fillId="5" borderId="0" xfId="0" applyFont="1" applyFill="1" applyAlignment="1">
      <alignment/>
    </xf>
    <xf numFmtId="4" fontId="2" fillId="5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right"/>
    </xf>
    <xf numFmtId="2" fontId="7" fillId="6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5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2" sqref="G2"/>
    </sheetView>
  </sheetViews>
  <sheetFormatPr defaultColWidth="9.140625" defaultRowHeight="12.75"/>
  <cols>
    <col min="1" max="1" width="12.57421875" style="0" customWidth="1"/>
    <col min="2" max="2" width="7.28125" style="0" customWidth="1"/>
    <col min="3" max="4" width="6.8515625" style="0" customWidth="1"/>
    <col min="6" max="6" width="12.7109375" style="0" customWidth="1"/>
    <col min="7" max="7" width="12.421875" style="0" customWidth="1"/>
  </cols>
  <sheetData>
    <row r="1" ht="18">
      <c r="A1" s="2" t="s">
        <v>0</v>
      </c>
    </row>
    <row r="3" spans="1:4" ht="13.5" thickBot="1">
      <c r="A3" s="31"/>
      <c r="B3" s="33" t="s">
        <v>1</v>
      </c>
      <c r="C3" s="33" t="s">
        <v>2</v>
      </c>
      <c r="D3" s="13"/>
    </row>
    <row r="4" spans="1:4" ht="12.75">
      <c r="A4" s="32" t="s">
        <v>3</v>
      </c>
      <c r="B4" s="3">
        <v>35</v>
      </c>
      <c r="C4" s="4">
        <v>4</v>
      </c>
      <c r="D4" s="13">
        <f>B4+C4</f>
        <v>39</v>
      </c>
    </row>
    <row r="5" spans="1:4" ht="13.5" thickBot="1">
      <c r="A5" s="32" t="s">
        <v>4</v>
      </c>
      <c r="B5" s="5">
        <v>8</v>
      </c>
      <c r="C5" s="6">
        <v>54</v>
      </c>
      <c r="D5" s="13">
        <f>B5+C5</f>
        <v>62</v>
      </c>
    </row>
    <row r="6" spans="1:4" ht="12.75">
      <c r="A6" s="31"/>
      <c r="B6" s="13">
        <f>B4+B5</f>
        <v>43</v>
      </c>
      <c r="C6" s="13">
        <f>C4+C5</f>
        <v>58</v>
      </c>
      <c r="D6" s="13">
        <f>B4+C4+B5+C5</f>
        <v>101</v>
      </c>
    </row>
    <row r="8" spans="1:2" ht="12.75">
      <c r="A8" s="13" t="s">
        <v>5</v>
      </c>
      <c r="B8" s="34">
        <f>B6/D6</f>
        <v>0.42574257425742573</v>
      </c>
    </row>
    <row r="9" spans="1:6" ht="12.75">
      <c r="A9" s="13" t="s">
        <v>6</v>
      </c>
      <c r="B9" s="34"/>
      <c r="C9" s="1"/>
      <c r="D9" s="1"/>
      <c r="E9" s="1"/>
      <c r="F9" s="1"/>
    </row>
    <row r="10" spans="3:7" ht="12.75">
      <c r="C10" s="1"/>
      <c r="D10" s="1"/>
      <c r="F10" s="13" t="s">
        <v>15</v>
      </c>
      <c r="G10" s="13" t="s">
        <v>16</v>
      </c>
    </row>
    <row r="11" spans="1:7" ht="12.75">
      <c r="A11" s="13" t="s">
        <v>7</v>
      </c>
      <c r="B11" s="34">
        <f>B4/B6</f>
        <v>0.813953488372093</v>
      </c>
      <c r="C11" s="1"/>
      <c r="D11" s="1"/>
      <c r="E11" s="35" t="s">
        <v>14</v>
      </c>
      <c r="F11" s="36">
        <f>B11-1.96*SQRT((B11*(1-B11))/B6)</f>
        <v>0.6976393779136113</v>
      </c>
      <c r="G11" s="36">
        <f>B11+1.96*SQRT((B11*(1-B11))/B6)</f>
        <v>0.9302675988305747</v>
      </c>
    </row>
    <row r="12" spans="1:7" ht="12.75">
      <c r="A12" s="13" t="s">
        <v>8</v>
      </c>
      <c r="B12" s="34">
        <f>C5/C6</f>
        <v>0.9310344827586207</v>
      </c>
      <c r="C12" s="1"/>
      <c r="D12" s="1"/>
      <c r="E12" s="35" t="s">
        <v>14</v>
      </c>
      <c r="F12" s="36">
        <f>B12-1.96*SQRT(B12*(1-B12)/C6)</f>
        <v>0.8658204651222803</v>
      </c>
      <c r="G12" s="36">
        <f>B12+1.96*SQRT(B12*(1-B12)/C6)</f>
        <v>0.996248500394961</v>
      </c>
    </row>
    <row r="13" spans="2:7" ht="12.75">
      <c r="B13" s="1"/>
      <c r="C13" s="1"/>
      <c r="D13" s="1"/>
      <c r="E13" s="1"/>
      <c r="F13" s="7"/>
      <c r="G13" s="7"/>
    </row>
    <row r="14" spans="1:7" ht="12.75">
      <c r="A14" s="13" t="s">
        <v>9</v>
      </c>
      <c r="B14" s="34">
        <f>B4/D4</f>
        <v>0.8974358974358975</v>
      </c>
      <c r="E14" s="35" t="s">
        <v>14</v>
      </c>
      <c r="F14" s="36">
        <f>B14-1.96*SQRT(B14*(1-B14)/D4)</f>
        <v>0.8022169933576703</v>
      </c>
      <c r="G14" s="36">
        <f>B14+1.96*SQRT(B14*(1-B14)/D5)</f>
        <v>0.9729554898585613</v>
      </c>
    </row>
    <row r="15" spans="1:7" ht="12.75">
      <c r="A15" s="13" t="s">
        <v>10</v>
      </c>
      <c r="B15" s="34">
        <f>C5/D5</f>
        <v>0.8709677419354839</v>
      </c>
      <c r="E15" s="35" t="s">
        <v>14</v>
      </c>
      <c r="F15" s="36">
        <f>B15-1.96*SQRT(B15*(1-B15)/D5)</f>
        <v>0.7875208029362364</v>
      </c>
      <c r="G15" s="36">
        <f>B15+1.96*SQRT(B15*(1-B15)/D5)</f>
        <v>0.9544146809347314</v>
      </c>
    </row>
    <row r="16" spans="6:7" ht="12.75">
      <c r="F16" s="7"/>
      <c r="G16" s="7"/>
    </row>
    <row r="17" spans="1:7" ht="12.75">
      <c r="A17" s="13" t="s">
        <v>11</v>
      </c>
      <c r="B17" s="34">
        <f>(B4+C5)/D6</f>
        <v>0.8811881188118812</v>
      </c>
      <c r="E17" s="35" t="s">
        <v>14</v>
      </c>
      <c r="F17" s="36">
        <f>B17-1.96*SQRT(B17*(1-B17)/D6)</f>
        <v>0.8180837195047505</v>
      </c>
      <c r="G17" s="36">
        <f>B17+1.96*SQRT(B17*(1-B17)/D6)</f>
        <v>0.9442925181190119</v>
      </c>
    </row>
    <row r="19" spans="1:7" ht="12.75">
      <c r="A19" s="13" t="s">
        <v>12</v>
      </c>
      <c r="B19" s="34">
        <f>(B4/B6)/(C4/C6)</f>
        <v>11.80232558139535</v>
      </c>
      <c r="E19" s="35" t="s">
        <v>14</v>
      </c>
      <c r="F19" s="36">
        <f>EXP(LN(B19)-1.96*SQRT(1/B4+1/C4-1/B6-1/C6))</f>
        <v>4.53559695024367</v>
      </c>
      <c r="G19" s="36">
        <f>EXP(LN(B19)+1.96*SQRT(1/B4+1/C4-1/B6-1/C6))</f>
        <v>30.711478700014464</v>
      </c>
    </row>
    <row r="20" spans="1:7" ht="12.75">
      <c r="A20" s="13" t="s">
        <v>13</v>
      </c>
      <c r="B20" s="34">
        <f>(B5/B6)/(C5/C6)</f>
        <v>0.19982773471145565</v>
      </c>
      <c r="E20" s="35" t="s">
        <v>14</v>
      </c>
      <c r="F20" s="36">
        <f>EXP(LN(B20)-1.96*SQRT(1/B5+1/C5-1/B6-1/C6))</f>
        <v>0.10652244754593687</v>
      </c>
      <c r="G20" s="36">
        <f>EXP(LN(B20)+1.96*SQRT(1/B5+1/C5-1/B6-1/C6))</f>
        <v>0.3748611159417077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13" sqref="F13"/>
    </sheetView>
  </sheetViews>
  <sheetFormatPr defaultColWidth="9.140625" defaultRowHeight="12.75"/>
  <cols>
    <col min="4" max="4" width="10.7109375" style="0" customWidth="1"/>
    <col min="5" max="6" width="15.421875" style="0" customWidth="1"/>
    <col min="7" max="7" width="14.28125" style="0" customWidth="1"/>
  </cols>
  <sheetData>
    <row r="1" ht="20.25">
      <c r="A1" s="8" t="s">
        <v>17</v>
      </c>
    </row>
    <row r="2" spans="2:6" ht="12.75">
      <c r="B2" s="9" t="s">
        <v>18</v>
      </c>
      <c r="C2" s="10" t="s">
        <v>19</v>
      </c>
      <c r="D2" s="11" t="s">
        <v>20</v>
      </c>
      <c r="E2" s="12" t="s">
        <v>21</v>
      </c>
      <c r="F2" s="11" t="s">
        <v>22</v>
      </c>
    </row>
    <row r="3" spans="2:6" ht="12.75">
      <c r="B3" s="55">
        <v>35</v>
      </c>
      <c r="C3" s="62">
        <v>43</v>
      </c>
      <c r="D3" s="64">
        <f>B3/C3</f>
        <v>0.813953488372093</v>
      </c>
      <c r="E3" s="60">
        <f>D3-1.96*SQRT(D3*(1-D3)/C3)</f>
        <v>0.6976393779136113</v>
      </c>
      <c r="F3" s="60">
        <f>D3+1.96*SQRT(D3*(1-D3)/C3)</f>
        <v>0.9302675988305747</v>
      </c>
    </row>
    <row r="6" ht="20.25">
      <c r="A6" s="8" t="s">
        <v>23</v>
      </c>
    </row>
    <row r="7" spans="2:4" ht="12.75">
      <c r="B7" s="13" t="s">
        <v>24</v>
      </c>
      <c r="C7" s="13"/>
      <c r="D7" s="13" t="s">
        <v>25</v>
      </c>
    </row>
    <row r="8" spans="1:4" ht="12.75">
      <c r="A8" s="14" t="s">
        <v>18</v>
      </c>
      <c r="B8" s="56">
        <v>22</v>
      </c>
      <c r="C8" s="14" t="s">
        <v>26</v>
      </c>
      <c r="D8" s="56">
        <v>12</v>
      </c>
    </row>
    <row r="9" spans="1:5" ht="12.75">
      <c r="A9" s="14" t="s">
        <v>19</v>
      </c>
      <c r="B9" s="57">
        <v>24</v>
      </c>
      <c r="C9" s="14" t="s">
        <v>27</v>
      </c>
      <c r="D9" s="57">
        <v>26</v>
      </c>
      <c r="E9" s="15"/>
    </row>
    <row r="10" spans="1:7" ht="12.75">
      <c r="A10" s="14" t="s">
        <v>20</v>
      </c>
      <c r="B10" s="16">
        <f>B8/B9</f>
        <v>0.9166666666666666</v>
      </c>
      <c r="C10" s="14" t="s">
        <v>28</v>
      </c>
      <c r="D10" s="16">
        <f>D8/D9</f>
        <v>0.46153846153846156</v>
      </c>
      <c r="E10" s="11" t="s">
        <v>96</v>
      </c>
      <c r="F10" s="11" t="s">
        <v>21</v>
      </c>
      <c r="G10" s="11" t="s">
        <v>22</v>
      </c>
    </row>
    <row r="11" spans="3:7" ht="12.75">
      <c r="C11" s="7"/>
      <c r="E11" s="61">
        <f>B10-D10</f>
        <v>0.45512820512820507</v>
      </c>
      <c r="F11" s="60">
        <f>E11-1.96*SQRT(B10*(1-B10)/B9+D10*(1-D10)/D9)</f>
        <v>0.23388805150562628</v>
      </c>
      <c r="G11" s="60">
        <f>E11+1.96*SQRT(B10*(1-B10)/B9+D10*(1-D10)/D9)</f>
        <v>0.6763683587507838</v>
      </c>
    </row>
    <row r="14" ht="20.25">
      <c r="A14" s="8" t="s">
        <v>29</v>
      </c>
    </row>
    <row r="15" spans="2:4" ht="12.75">
      <c r="B15" s="17" t="s">
        <v>30</v>
      </c>
      <c r="C15" s="17"/>
      <c r="D15" s="17" t="s">
        <v>31</v>
      </c>
    </row>
    <row r="16" spans="1:7" ht="15.75">
      <c r="A16" s="13" t="s">
        <v>32</v>
      </c>
      <c r="B16" s="58">
        <v>23</v>
      </c>
      <c r="C16" s="13" t="s">
        <v>18</v>
      </c>
      <c r="D16" s="58">
        <v>34</v>
      </c>
      <c r="E16" s="13" t="s">
        <v>26</v>
      </c>
      <c r="F16" s="18" t="s">
        <v>33</v>
      </c>
      <c r="G16" s="18" t="s">
        <v>34</v>
      </c>
    </row>
    <row r="17" spans="1:7" ht="12.75">
      <c r="A17" s="13" t="s">
        <v>35</v>
      </c>
      <c r="B17" s="59">
        <v>12</v>
      </c>
      <c r="C17" s="13" t="s">
        <v>36</v>
      </c>
      <c r="D17" s="59">
        <v>56</v>
      </c>
      <c r="E17" s="13" t="s">
        <v>37</v>
      </c>
      <c r="F17" s="65">
        <f>LN(E20)</f>
        <v>1.1495787322601372</v>
      </c>
      <c r="G17" s="65">
        <f>SQRT(1/B16+1/D16+1/B17+1/D17)</f>
        <v>0.4172295552401864</v>
      </c>
    </row>
    <row r="19" spans="5:7" ht="12.75">
      <c r="E19" s="19" t="s">
        <v>95</v>
      </c>
      <c r="F19" s="11" t="s">
        <v>21</v>
      </c>
      <c r="G19" s="11" t="s">
        <v>22</v>
      </c>
    </row>
    <row r="20" spans="5:7" ht="12.75">
      <c r="E20" s="61">
        <f>(B16*D17)/(D16*B17)</f>
        <v>3.156862745098039</v>
      </c>
      <c r="F20" s="60">
        <f>EXP(F17-1.96*G17)</f>
        <v>1.3934863940014108</v>
      </c>
      <c r="G20" s="60">
        <f>EXP(F17+1.96*G17)</f>
        <v>7.151689771990581</v>
      </c>
    </row>
    <row r="23" ht="20.25">
      <c r="A23" s="8" t="s">
        <v>38</v>
      </c>
    </row>
    <row r="24" spans="2:7" ht="15.75">
      <c r="B24" s="17" t="s">
        <v>1</v>
      </c>
      <c r="C24" s="17"/>
      <c r="D24" s="17" t="s">
        <v>2</v>
      </c>
      <c r="E24" s="13"/>
      <c r="F24" s="17" t="s">
        <v>39</v>
      </c>
      <c r="G24" s="17" t="s">
        <v>40</v>
      </c>
    </row>
    <row r="25" spans="1:7" ht="12.75">
      <c r="A25" s="13" t="s">
        <v>41</v>
      </c>
      <c r="B25" s="58">
        <v>35</v>
      </c>
      <c r="C25" s="13" t="s">
        <v>18</v>
      </c>
      <c r="D25" s="58">
        <v>4</v>
      </c>
      <c r="E25" s="13" t="s">
        <v>26</v>
      </c>
      <c r="F25" s="16">
        <f>LN(E29)</f>
        <v>2.46829659522238</v>
      </c>
      <c r="G25" s="16">
        <f>SQRT(1/B25+1/D25-1/B27-1/D27)</f>
        <v>0.48792851454654235</v>
      </c>
    </row>
    <row r="26" spans="1:7" ht="15.75">
      <c r="A26" s="13" t="s">
        <v>42</v>
      </c>
      <c r="B26" s="59">
        <v>8</v>
      </c>
      <c r="C26" s="13" t="s">
        <v>36</v>
      </c>
      <c r="D26" s="59">
        <v>54</v>
      </c>
      <c r="E26" s="13" t="s">
        <v>37</v>
      </c>
      <c r="F26" s="17" t="s">
        <v>43</v>
      </c>
      <c r="G26" s="17" t="s">
        <v>44</v>
      </c>
    </row>
    <row r="27" spans="2:7" ht="12.75">
      <c r="B27" s="17">
        <f>SUM(B25:B26)</f>
        <v>43</v>
      </c>
      <c r="C27" s="17"/>
      <c r="D27" s="17">
        <f>SUM(D25:D26)</f>
        <v>58</v>
      </c>
      <c r="E27" s="13"/>
      <c r="F27" s="16">
        <f>LN(E31)</f>
        <v>-1.6102996100315814</v>
      </c>
      <c r="G27" s="16">
        <f>SQRT(1/B26+1/D26-1/B27-1/D27)</f>
        <v>0.32096935251622594</v>
      </c>
    </row>
    <row r="28" spans="2:7" ht="12.75">
      <c r="B28" s="13"/>
      <c r="C28" s="13"/>
      <c r="D28" s="13"/>
      <c r="E28" s="19" t="s">
        <v>45</v>
      </c>
      <c r="F28" s="11" t="s">
        <v>21</v>
      </c>
      <c r="G28" s="11" t="s">
        <v>22</v>
      </c>
    </row>
    <row r="29" spans="5:7" ht="12.75">
      <c r="E29" s="61">
        <f>(B25/B27)/(D25/D27)</f>
        <v>11.80232558139535</v>
      </c>
      <c r="F29" s="60">
        <f>EXP(F25-1.96*G25)</f>
        <v>4.53559695024367</v>
      </c>
      <c r="G29" s="60">
        <f>EXP(F25+1.96*G25)</f>
        <v>30.711478700014464</v>
      </c>
    </row>
    <row r="30" spans="5:7" ht="12.75">
      <c r="E30" s="19" t="s">
        <v>46</v>
      </c>
      <c r="F30" s="11" t="s">
        <v>21</v>
      </c>
      <c r="G30" s="11" t="s">
        <v>22</v>
      </c>
    </row>
    <row r="31" spans="5:7" ht="12.75">
      <c r="E31" s="61">
        <f>(B26/B27)/(D26/D27)</f>
        <v>0.19982773471145565</v>
      </c>
      <c r="F31" s="60">
        <f>EXP(F27-1.96*G27)</f>
        <v>0.10652244754593687</v>
      </c>
      <c r="G31" s="60">
        <f>EXP(F27+1.96*G27)</f>
        <v>0.3748611159417077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7" sqref="B17"/>
    </sheetView>
  </sheetViews>
  <sheetFormatPr defaultColWidth="9.140625" defaultRowHeight="12.75"/>
  <cols>
    <col min="1" max="1" width="13.28125" style="0" customWidth="1"/>
    <col min="2" max="2" width="22.8515625" style="0" customWidth="1"/>
    <col min="3" max="3" width="20.28125" style="0" customWidth="1"/>
    <col min="5" max="5" width="21.8515625" style="0" customWidth="1"/>
    <col min="6" max="6" width="7.8515625" style="0" customWidth="1"/>
  </cols>
  <sheetData>
    <row r="1" ht="20.25">
      <c r="A1" s="20" t="s">
        <v>47</v>
      </c>
    </row>
    <row r="3" spans="1:4" ht="12.75">
      <c r="A3" s="13"/>
      <c r="B3" s="35" t="s">
        <v>48</v>
      </c>
      <c r="C3" s="35" t="s">
        <v>49</v>
      </c>
      <c r="D3" s="13"/>
    </row>
    <row r="4" spans="1:4" ht="12.75">
      <c r="A4" s="13" t="s">
        <v>50</v>
      </c>
      <c r="B4" s="13" t="s">
        <v>51</v>
      </c>
      <c r="C4" s="13" t="s">
        <v>52</v>
      </c>
      <c r="D4" s="13"/>
    </row>
    <row r="5" spans="1:4" ht="15.75">
      <c r="A5" s="13" t="s">
        <v>59</v>
      </c>
      <c r="B5" s="21">
        <v>15</v>
      </c>
      <c r="C5" s="22">
        <v>5</v>
      </c>
      <c r="D5" s="13"/>
    </row>
    <row r="6" spans="1:4" ht="15.75">
      <c r="A6" s="13" t="s">
        <v>60</v>
      </c>
      <c r="B6" s="23">
        <v>23</v>
      </c>
      <c r="C6" s="24">
        <v>67</v>
      </c>
      <c r="D6" s="13"/>
    </row>
    <row r="7" spans="1:4" ht="12.75">
      <c r="A7" s="13" t="s">
        <v>53</v>
      </c>
      <c r="B7" s="37">
        <f>B5+B6</f>
        <v>38</v>
      </c>
      <c r="C7" s="37">
        <f>C5+C6</f>
        <v>72</v>
      </c>
      <c r="D7" s="13"/>
    </row>
    <row r="8" spans="1:4" ht="12.75">
      <c r="A8" s="13" t="s">
        <v>54</v>
      </c>
      <c r="B8" s="38">
        <f>B5/B7</f>
        <v>0.39473684210526316</v>
      </c>
      <c r="C8" s="38">
        <f>C5/C7</f>
        <v>0.06944444444444445</v>
      </c>
      <c r="D8" s="13"/>
    </row>
    <row r="11" spans="2:6" ht="12.75">
      <c r="B11" s="13" t="s">
        <v>55</v>
      </c>
      <c r="C11" s="34">
        <f>B8-C8</f>
        <v>0.32529239766081874</v>
      </c>
      <c r="E11" s="39" t="s">
        <v>56</v>
      </c>
      <c r="F11" s="40">
        <f>1/C11</f>
        <v>3.0741573033707863</v>
      </c>
    </row>
    <row r="12" spans="2:6" ht="12.75">
      <c r="B12" s="13" t="s">
        <v>91</v>
      </c>
      <c r="C12" s="34">
        <f>C11+1.96*SQRT(B8*(1-B8)/B7+C8*(1-C8)/C7)</f>
        <v>0.4914292660000116</v>
      </c>
      <c r="E12" s="13" t="s">
        <v>87</v>
      </c>
      <c r="F12" s="41">
        <f>1/C12</f>
        <v>2.034880844886386</v>
      </c>
    </row>
    <row r="13" spans="2:6" ht="12.75">
      <c r="B13" s="13" t="s">
        <v>92</v>
      </c>
      <c r="C13" s="34">
        <f>C11-1.96*SQRT(B8*(1-B8)/B7+C8*(1-C8)/C7)</f>
        <v>0.15915552932162594</v>
      </c>
      <c r="E13" s="13" t="s">
        <v>88</v>
      </c>
      <c r="F13" s="41">
        <f>1/C13</f>
        <v>6.283162163842715</v>
      </c>
    </row>
    <row r="14" ht="12.75">
      <c r="C14" s="1"/>
    </row>
    <row r="15" spans="2:6" ht="12.75">
      <c r="B15" s="13" t="s">
        <v>57</v>
      </c>
      <c r="C15" s="34">
        <f>C11/B8</f>
        <v>0.8240740740740742</v>
      </c>
      <c r="E15" s="13" t="s">
        <v>58</v>
      </c>
      <c r="F15" s="34">
        <f>C8/B8</f>
        <v>0.17592592592592593</v>
      </c>
    </row>
    <row r="16" spans="2:6" ht="12.75">
      <c r="B16" s="13" t="s">
        <v>93</v>
      </c>
      <c r="C16" s="34">
        <f>1-F17</f>
        <v>0.5528973226292457</v>
      </c>
      <c r="E16" s="13" t="s">
        <v>89</v>
      </c>
      <c r="F16" s="34">
        <f>EXP(LN(F15)-1.96*SQRT(1/B5+1/C5-1/B7-1/C7))</f>
        <v>0.06922331933885854</v>
      </c>
    </row>
    <row r="17" spans="2:6" ht="12.75">
      <c r="B17" s="13" t="s">
        <v>94</v>
      </c>
      <c r="C17" s="34">
        <f>1-F16</f>
        <v>0.9307766806611415</v>
      </c>
      <c r="E17" s="13" t="s">
        <v>90</v>
      </c>
      <c r="F17" s="34">
        <f>EXP(LN(F15)+1.96*SQRT(1/B5+1/C5-1/C7-1/B7))</f>
        <v>0.4471026773707543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6" max="6" width="9.00390625" style="0" customWidth="1"/>
  </cols>
  <sheetData>
    <row r="1" ht="18">
      <c r="A1" s="25" t="s">
        <v>67</v>
      </c>
    </row>
    <row r="2" ht="13.5" thickBot="1">
      <c r="A2" t="s">
        <v>84</v>
      </c>
    </row>
    <row r="3" spans="1:6" ht="13.5" thickBot="1">
      <c r="A3" s="42" t="s">
        <v>86</v>
      </c>
      <c r="B3" s="46">
        <v>1</v>
      </c>
      <c r="C3" s="46">
        <v>2</v>
      </c>
      <c r="D3" s="46">
        <v>3</v>
      </c>
      <c r="E3" s="46">
        <v>4</v>
      </c>
      <c r="F3" s="46">
        <v>5</v>
      </c>
    </row>
    <row r="4" spans="1:6" ht="12.75">
      <c r="A4" s="43" t="s">
        <v>61</v>
      </c>
      <c r="B4" s="27">
        <v>0.5</v>
      </c>
      <c r="C4" s="27">
        <v>0.75</v>
      </c>
      <c r="D4" s="27">
        <v>0.85</v>
      </c>
      <c r="E4" s="27">
        <v>0.9</v>
      </c>
      <c r="F4" s="27">
        <v>0.95</v>
      </c>
    </row>
    <row r="5" spans="1:6" ht="12.75">
      <c r="A5" s="44" t="s">
        <v>7</v>
      </c>
      <c r="B5" s="28">
        <v>0.78</v>
      </c>
      <c r="C5" s="28">
        <v>0.78</v>
      </c>
      <c r="D5" s="28">
        <v>0.78</v>
      </c>
      <c r="E5" s="28">
        <v>0.78</v>
      </c>
      <c r="F5" s="28">
        <v>0.78</v>
      </c>
    </row>
    <row r="6" spans="1:6" ht="13.5" thickBot="1">
      <c r="A6" s="45" t="s">
        <v>8</v>
      </c>
      <c r="B6" s="29">
        <v>0.85</v>
      </c>
      <c r="C6" s="29">
        <v>0.85</v>
      </c>
      <c r="D6" s="29">
        <v>0.85</v>
      </c>
      <c r="E6" s="29">
        <v>0.85</v>
      </c>
      <c r="F6" s="29">
        <v>0.85</v>
      </c>
    </row>
    <row r="7" spans="1:6" ht="12.75">
      <c r="A7" s="26"/>
      <c r="B7" s="30"/>
      <c r="C7" s="30"/>
      <c r="D7" s="30"/>
      <c r="E7" s="30"/>
      <c r="F7" s="30"/>
    </row>
    <row r="8" spans="1:6" ht="12.75">
      <c r="A8" s="44" t="s">
        <v>62</v>
      </c>
      <c r="B8" s="47">
        <f>B4*B5/(B4*B5+(1-B4)*(1-B6))</f>
        <v>0.8387096774193549</v>
      </c>
      <c r="C8" s="47">
        <f>C4*C5/(C4*C5+(1-C4)*(1-C6))</f>
        <v>0.9397590361445783</v>
      </c>
      <c r="D8" s="47">
        <f>D4*D5/(D4*D5+(1-D4)*(1-D6))</f>
        <v>0.9671772428884027</v>
      </c>
      <c r="E8" s="47">
        <f>E4*E5/(E4*E5+(1-E4)*(1-E6))</f>
        <v>0.9790794979079498</v>
      </c>
      <c r="F8" s="47">
        <f>F4*F5/(F4*F5+(1-F4)*(1-F6))</f>
        <v>0.9899799599198396</v>
      </c>
    </row>
    <row r="9" spans="1:6" ht="12.75">
      <c r="A9" s="44" t="s">
        <v>63</v>
      </c>
      <c r="B9" s="47">
        <f>(1-B4)*B6/(B4*(1-B5)+(1-B4)*B6)</f>
        <v>0.7943925233644861</v>
      </c>
      <c r="C9" s="47">
        <f>(1-C4)*C6/(C4*(1-C5)+(1-C4)*C6)</f>
        <v>0.5629139072847683</v>
      </c>
      <c r="D9" s="47">
        <f>(1-D4)*D6/(D4*(1-D5)+(1-D4)*D6)</f>
        <v>0.40540540540540543</v>
      </c>
      <c r="E9" s="47">
        <f>(1-E4)*E6/(E4*(1-E5)+(1-E4)*E6)</f>
        <v>0.30035335689045933</v>
      </c>
      <c r="F9" s="47">
        <f>(1-F4)*F6/(F4*(1-F5)+(1-F4)*F6)</f>
        <v>0.16898608349900612</v>
      </c>
    </row>
    <row r="10" spans="1:6" ht="12.75">
      <c r="A10" s="44" t="s">
        <v>64</v>
      </c>
      <c r="B10" s="47">
        <f>1-B9</f>
        <v>0.20560747663551393</v>
      </c>
      <c r="C10" s="47">
        <f>1-C9</f>
        <v>0.4370860927152317</v>
      </c>
      <c r="D10" s="47">
        <f>1-D9</f>
        <v>0.5945945945945945</v>
      </c>
      <c r="E10" s="47">
        <f>1-E9</f>
        <v>0.6996466431095407</v>
      </c>
      <c r="F10" s="47">
        <f>1-F9</f>
        <v>0.8310139165009939</v>
      </c>
    </row>
    <row r="11" spans="1:6" ht="12.75">
      <c r="A11" s="26"/>
      <c r="B11" s="30"/>
      <c r="C11" s="30"/>
      <c r="D11" s="30"/>
      <c r="E11" s="30"/>
      <c r="F11" s="30"/>
    </row>
    <row r="12" spans="1:6" ht="12.75">
      <c r="A12" s="44" t="s">
        <v>65</v>
      </c>
      <c r="B12" s="47">
        <f>B5/(1.00001-B6)</f>
        <v>5.199653356442901</v>
      </c>
      <c r="C12" s="47">
        <f>C5/(1.00001-C6)</f>
        <v>5.199653356442901</v>
      </c>
      <c r="D12" s="47">
        <f>D5/(1.00001-D6)</f>
        <v>5.199653356442901</v>
      </c>
      <c r="E12" s="47">
        <f>E5/(1.00001-E6)</f>
        <v>5.199653356442901</v>
      </c>
      <c r="F12" s="47">
        <f>F5/(1.00001-F6)</f>
        <v>5.199653356442901</v>
      </c>
    </row>
    <row r="13" spans="1:6" ht="12.75">
      <c r="A13" s="44" t="s">
        <v>66</v>
      </c>
      <c r="B13" s="47">
        <f>(1-B5)/B6</f>
        <v>0.2588235294117647</v>
      </c>
      <c r="C13" s="47">
        <f>(1-C5)/C6</f>
        <v>0.2588235294117647</v>
      </c>
      <c r="D13" s="47">
        <f>(1-D5)/D6</f>
        <v>0.2588235294117647</v>
      </c>
      <c r="E13" s="47">
        <f>(1-E5)/E6</f>
        <v>0.2588235294117647</v>
      </c>
      <c r="F13" s="47">
        <f>(1-F5)/F6</f>
        <v>0.2588235294117647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B12" sqref="B12"/>
    </sheetView>
  </sheetViews>
  <sheetFormatPr defaultColWidth="9.140625" defaultRowHeight="12.75"/>
  <cols>
    <col min="1" max="1" width="15.7109375" style="0" customWidth="1"/>
    <col min="2" max="2" width="17.7109375" style="0" customWidth="1"/>
    <col min="7" max="7" width="17.140625" style="0" customWidth="1"/>
    <col min="10" max="10" width="9.8515625" style="0" customWidth="1"/>
  </cols>
  <sheetData>
    <row r="1" ht="18">
      <c r="A1" s="2" t="s">
        <v>82</v>
      </c>
    </row>
    <row r="3" spans="2:3" ht="12.75">
      <c r="B3" s="52"/>
      <c r="C3" s="54" t="s">
        <v>70</v>
      </c>
    </row>
    <row r="4" spans="2:10" ht="12.75">
      <c r="B4" s="13"/>
      <c r="C4" s="17" t="s">
        <v>1</v>
      </c>
      <c r="D4" s="17" t="s">
        <v>2</v>
      </c>
      <c r="E4" s="17"/>
      <c r="G4" t="s">
        <v>77</v>
      </c>
      <c r="H4" s="17" t="s">
        <v>76</v>
      </c>
      <c r="I4" s="85" t="s">
        <v>14</v>
      </c>
      <c r="J4" s="85"/>
    </row>
    <row r="5" spans="1:10" ht="12.75">
      <c r="A5" s="54" t="s">
        <v>71</v>
      </c>
      <c r="B5" s="13" t="s">
        <v>68</v>
      </c>
      <c r="C5" s="48">
        <v>23</v>
      </c>
      <c r="D5" s="49">
        <v>34</v>
      </c>
      <c r="E5" s="17">
        <f>SUM(C5:D5)</f>
        <v>57</v>
      </c>
      <c r="G5" t="s">
        <v>75</v>
      </c>
      <c r="H5" s="36">
        <f>((C5/E5))/(C6/E6)</f>
        <v>2.286549707602339</v>
      </c>
      <c r="I5" s="36">
        <f>EXP(LN(H5)-1.96*SQRT(1/C5+1/C6-1/E5-1/E6))</f>
        <v>1.2514791222618602</v>
      </c>
      <c r="J5" s="36">
        <f>EXP(LN(H5)+1.96*SQRT(1/C5+1/C6-1/E5-1/E6))</f>
        <v>4.177704184059387</v>
      </c>
    </row>
    <row r="6" spans="1:5" ht="12.75">
      <c r="A6" s="54" t="s">
        <v>72</v>
      </c>
      <c r="B6" s="13" t="s">
        <v>69</v>
      </c>
      <c r="C6" s="50">
        <v>12</v>
      </c>
      <c r="D6" s="51">
        <v>56</v>
      </c>
      <c r="E6" s="17">
        <f>SUM(C6:D6)</f>
        <v>68</v>
      </c>
    </row>
    <row r="7" spans="2:10" ht="12.75">
      <c r="B7" s="13"/>
      <c r="C7" s="17">
        <f>SUM(C5:C6)</f>
        <v>35</v>
      </c>
      <c r="D7" s="17">
        <f>SUM(D5:D6)</f>
        <v>90</v>
      </c>
      <c r="E7" s="17"/>
      <c r="G7" t="s">
        <v>78</v>
      </c>
      <c r="H7" s="13" t="s">
        <v>79</v>
      </c>
      <c r="I7" s="15"/>
      <c r="J7" s="15"/>
    </row>
    <row r="8" spans="3:8" ht="12.75">
      <c r="C8" s="15"/>
      <c r="D8" s="15"/>
      <c r="E8" s="15"/>
      <c r="G8" t="s">
        <v>81</v>
      </c>
      <c r="H8" s="41">
        <f>1/((C5/E5)-(C6/E6))</f>
        <v>4.404545454545455</v>
      </c>
    </row>
    <row r="9" spans="2:5" ht="12.75">
      <c r="B9" s="13"/>
      <c r="C9" s="17" t="s">
        <v>74</v>
      </c>
      <c r="D9" s="85" t="s">
        <v>14</v>
      </c>
      <c r="E9" s="85"/>
    </row>
    <row r="10" spans="2:5" ht="12.75">
      <c r="B10" s="13" t="s">
        <v>73</v>
      </c>
      <c r="C10" s="36">
        <f>(C5*D6)/(C6*D5)</f>
        <v>3.156862745098039</v>
      </c>
      <c r="D10" s="36">
        <f>EXP(LN(C10)-1.96*SQRT(1/C5+1/C6+1/D5+1/D6))</f>
        <v>1.3934863940014108</v>
      </c>
      <c r="E10" s="36">
        <f>EXP(LN(C10)+1.96*SQRT(1/C5+1/C6+1/D5+1/D6))</f>
        <v>7.151689771990581</v>
      </c>
    </row>
    <row r="12" ht="12.75">
      <c r="B12" t="s">
        <v>85</v>
      </c>
    </row>
    <row r="13" spans="2:5" ht="12.75">
      <c r="B13" t="s">
        <v>83</v>
      </c>
      <c r="E13" s="17" t="s">
        <v>79</v>
      </c>
    </row>
    <row r="14" spans="2:5" ht="12.75">
      <c r="B14" s="13" t="s">
        <v>80</v>
      </c>
      <c r="C14" s="53">
        <v>0.18</v>
      </c>
      <c r="D14" s="7"/>
      <c r="E14" s="63">
        <f>(1+(C14*(C10-1)))/((1-C14)*C14*(C10-1))</f>
        <v>4.360679970436068</v>
      </c>
    </row>
  </sheetData>
  <mergeCells count="2">
    <mergeCell ref="D9:E9"/>
    <mergeCell ref="I4:J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C1" sqref="C1"/>
    </sheetView>
  </sheetViews>
  <sheetFormatPr defaultColWidth="9.140625" defaultRowHeight="12.75"/>
  <cols>
    <col min="1" max="1" width="13.28125" style="0" customWidth="1"/>
    <col min="2" max="2" width="11.57421875" style="0" customWidth="1"/>
    <col min="3" max="3" width="13.140625" style="0" customWidth="1"/>
    <col min="4" max="4" width="12.8515625" style="0" customWidth="1"/>
  </cols>
  <sheetData>
    <row r="1" ht="18">
      <c r="A1" s="2" t="s">
        <v>97</v>
      </c>
    </row>
    <row r="3" spans="1:2" ht="15.75">
      <c r="A3" s="68" t="s">
        <v>98</v>
      </c>
      <c r="B3" s="66"/>
    </row>
    <row r="4" spans="1:5" ht="12.75">
      <c r="A4" s="73"/>
      <c r="B4" s="73"/>
      <c r="C4" s="87" t="s">
        <v>99</v>
      </c>
      <c r="D4" s="87"/>
      <c r="E4" s="73"/>
    </row>
    <row r="5" spans="1:5" ht="12.75">
      <c r="A5" s="73"/>
      <c r="B5" s="73"/>
      <c r="C5" s="73" t="s">
        <v>101</v>
      </c>
      <c r="D5" s="73" t="s">
        <v>102</v>
      </c>
      <c r="E5" s="73"/>
    </row>
    <row r="6" spans="1:5" ht="12.75">
      <c r="A6" s="88" t="s">
        <v>100</v>
      </c>
      <c r="B6" s="73" t="s">
        <v>101</v>
      </c>
      <c r="C6" s="69">
        <v>17</v>
      </c>
      <c r="D6" s="70">
        <v>18</v>
      </c>
      <c r="E6" s="74">
        <f>SUM(C6:D6)</f>
        <v>35</v>
      </c>
    </row>
    <row r="7" spans="1:5" ht="12.75">
      <c r="A7" s="88"/>
      <c r="B7" s="73" t="s">
        <v>102</v>
      </c>
      <c r="C7" s="71">
        <v>22</v>
      </c>
      <c r="D7" s="72">
        <v>43</v>
      </c>
      <c r="E7" s="74">
        <f>SUM(C7:D7)</f>
        <v>65</v>
      </c>
    </row>
    <row r="8" spans="1:5" ht="12.75">
      <c r="A8" s="73"/>
      <c r="B8" s="73"/>
      <c r="C8" s="74">
        <f>SUM(C6:C7)</f>
        <v>39</v>
      </c>
      <c r="D8" s="74">
        <f>SUM(D6:D7)</f>
        <v>61</v>
      </c>
      <c r="E8" s="74">
        <f>SUM(C8:D8)</f>
        <v>100</v>
      </c>
    </row>
    <row r="9" spans="3:5" ht="12.75">
      <c r="C9" s="86" t="s">
        <v>103</v>
      </c>
      <c r="D9" s="86"/>
      <c r="E9" s="75">
        <f>C6+D7</f>
        <v>60</v>
      </c>
    </row>
    <row r="12" spans="1:3" ht="15.75">
      <c r="A12" s="68" t="s">
        <v>104</v>
      </c>
      <c r="B12" s="66"/>
      <c r="C12" s="66"/>
    </row>
    <row r="13" spans="1:5" ht="12.75">
      <c r="A13" s="13"/>
      <c r="B13" s="13"/>
      <c r="C13" s="89" t="s">
        <v>99</v>
      </c>
      <c r="D13" s="89"/>
      <c r="E13" s="13"/>
    </row>
    <row r="14" spans="1:5" ht="12.75">
      <c r="A14" s="13"/>
      <c r="B14" s="13"/>
      <c r="C14" s="13" t="s">
        <v>101</v>
      </c>
      <c r="D14" s="13" t="s">
        <v>102</v>
      </c>
      <c r="E14" s="13"/>
    </row>
    <row r="15" spans="1:5" ht="12.75">
      <c r="A15" s="90" t="s">
        <v>100</v>
      </c>
      <c r="B15" s="13" t="s">
        <v>101</v>
      </c>
      <c r="C15" s="76">
        <f>E6*C8/E8</f>
        <v>13.65</v>
      </c>
      <c r="D15" s="77">
        <f>E6*D8/E8</f>
        <v>21.35</v>
      </c>
      <c r="E15" s="78">
        <f>SUM(C15:D15)</f>
        <v>35</v>
      </c>
    </row>
    <row r="16" spans="1:5" ht="12.75">
      <c r="A16" s="90"/>
      <c r="B16" s="13" t="s">
        <v>102</v>
      </c>
      <c r="C16" s="79">
        <f>E7*C8/E8</f>
        <v>25.35</v>
      </c>
      <c r="D16" s="80">
        <f>E7*D8/E8</f>
        <v>39.65</v>
      </c>
      <c r="E16" s="78">
        <f>SUM(C16:D16)</f>
        <v>65</v>
      </c>
    </row>
    <row r="17" spans="1:5" ht="12.75">
      <c r="A17" s="13"/>
      <c r="B17" s="13"/>
      <c r="C17" s="78">
        <f>SUM(C15:C16)</f>
        <v>39</v>
      </c>
      <c r="D17" s="78">
        <f>SUM(D15:D16)</f>
        <v>61</v>
      </c>
      <c r="E17" s="78">
        <f>SUM(C17:D17)</f>
        <v>100</v>
      </c>
    </row>
    <row r="18" spans="3:5" ht="12.75">
      <c r="C18" s="81" t="s">
        <v>105</v>
      </c>
      <c r="D18" s="81"/>
      <c r="E18" s="82">
        <f>C15+D16</f>
        <v>53.3</v>
      </c>
    </row>
    <row r="20" spans="2:5" ht="12.75">
      <c r="B20" s="86" t="s">
        <v>106</v>
      </c>
      <c r="C20" s="86"/>
      <c r="D20" s="86"/>
      <c r="E20" s="82">
        <f>E9-E18</f>
        <v>6.700000000000003</v>
      </c>
    </row>
    <row r="21" spans="2:5" ht="12.75">
      <c r="B21" s="86" t="s">
        <v>107</v>
      </c>
      <c r="C21" s="86"/>
      <c r="D21" s="86"/>
      <c r="E21" s="82">
        <f>E8-E18</f>
        <v>46.7</v>
      </c>
    </row>
    <row r="22" spans="2:5" ht="15">
      <c r="B22" s="67"/>
      <c r="C22" s="67"/>
      <c r="D22" s="83" t="s">
        <v>108</v>
      </c>
      <c r="E22" s="84">
        <f>E20/E21</f>
        <v>0.14346895074946472</v>
      </c>
    </row>
  </sheetData>
  <mergeCells count="7">
    <mergeCell ref="B20:D20"/>
    <mergeCell ref="B21:D21"/>
    <mergeCell ref="C4:D4"/>
    <mergeCell ref="A6:A7"/>
    <mergeCell ref="C13:D13"/>
    <mergeCell ref="A15:A16"/>
    <mergeCell ref="C9:D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Hvidovre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Matzen</dc:creator>
  <cp:keywords/>
  <dc:description/>
  <cp:lastModifiedBy>ij</cp:lastModifiedBy>
  <dcterms:created xsi:type="dcterms:W3CDTF">1997-05-08T12:03:12Z</dcterms:created>
  <dcterms:modified xsi:type="dcterms:W3CDTF">2010-07-19T09:07:55Z</dcterms:modified>
  <cp:category/>
  <cp:version/>
  <cp:contentType/>
  <cp:contentStatus/>
</cp:coreProperties>
</file>